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0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www.dropbox.com/10558242/Fitness/"/>
    </mc:Choice>
  </mc:AlternateContent>
  <bookViews>
    <workbookView xWindow="0" yWindow="0" windowWidth="15360" windowHeight="20480" activeTab="1"/>
  </bookViews>
  <sheets>
    <sheet name="Macro Calculator" sheetId="2" r:id="rId1"/>
    <sheet name="RP Meal Calculator" sheetId="3" r:id="rId2"/>
    <sheet name="values" sheetId="1" r:id="rId3"/>
  </sheets>
  <definedNames>
    <definedName name="bodyweight">'Macro Calculator'!$E$9</definedName>
    <definedName name="bodyweight_lb">'Macro Calculator'!$F$9</definedName>
    <definedName name="CAL_ADJ">'Macro Calculator'!$E$16</definedName>
    <definedName name="fat_cal">values!$D$4</definedName>
    <definedName name="high">'Macro Calculator'!$E$23</definedName>
    <definedName name="high_carbs">values!$G$5</definedName>
    <definedName name="light">'Macro Calculator'!$E$21</definedName>
    <definedName name="light_carbs">values!$G$3</definedName>
    <definedName name="Meals">'RP Meal Calculator'!$E$7</definedName>
    <definedName name="mod_carbs">values!$G$4</definedName>
    <definedName name="moderate">'Macro Calculator'!$E$22</definedName>
    <definedName name="prot_carb_cal">values!$D$2</definedName>
    <definedName name="protein_target">'Macro Calculator'!$E$12</definedName>
    <definedName name="sed_carbs">values!$G$2</definedName>
    <definedName name="sedentary">'Macro Calculator'!$E$20</definedName>
  </definedNames>
  <calcPr calcId="158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23" i="2"/>
  <c r="F9" i="2"/>
  <c r="F43" i="2"/>
  <c r="F44" i="2"/>
  <c r="G43" i="2"/>
  <c r="G44" i="2"/>
  <c r="H44" i="2"/>
  <c r="H43" i="2"/>
  <c r="H13" i="3"/>
  <c r="K36" i="3"/>
  <c r="K39" i="3"/>
  <c r="G13" i="3"/>
  <c r="K35" i="3"/>
  <c r="K38" i="3"/>
  <c r="F13" i="3"/>
  <c r="K37" i="3"/>
  <c r="E22" i="2"/>
  <c r="F38" i="2"/>
  <c r="F39" i="2"/>
  <c r="G38" i="2"/>
  <c r="G39" i="2"/>
  <c r="H39" i="2"/>
  <c r="H38" i="2"/>
  <c r="H12" i="3"/>
  <c r="K28" i="3"/>
  <c r="K31" i="3"/>
  <c r="G12" i="3"/>
  <c r="K27" i="3"/>
  <c r="K30" i="3"/>
  <c r="F12" i="3"/>
  <c r="K29" i="3"/>
  <c r="F33" i="2"/>
  <c r="F11" i="3"/>
  <c r="K21" i="3"/>
  <c r="F10" i="3"/>
  <c r="G45" i="3"/>
  <c r="H45" i="3"/>
  <c r="I45" i="3"/>
  <c r="J45" i="3"/>
  <c r="F45" i="3"/>
  <c r="E21" i="2"/>
  <c r="F34" i="2"/>
  <c r="G33" i="2"/>
  <c r="G10" i="3"/>
  <c r="G43" i="3"/>
  <c r="G46" i="3"/>
  <c r="H43" i="3"/>
  <c r="H46" i="3"/>
  <c r="I43" i="3"/>
  <c r="I46" i="3"/>
  <c r="J43" i="3"/>
  <c r="J46" i="3"/>
  <c r="F43" i="3"/>
  <c r="F46" i="3"/>
  <c r="G34" i="2"/>
  <c r="H34" i="2"/>
  <c r="H33" i="2"/>
  <c r="H10" i="3"/>
  <c r="G44" i="3"/>
  <c r="G47" i="3"/>
  <c r="H44" i="3"/>
  <c r="H47" i="3"/>
  <c r="I44" i="3"/>
  <c r="I47" i="3"/>
  <c r="J44" i="3"/>
  <c r="J47" i="3"/>
  <c r="F44" i="3"/>
  <c r="F47" i="3"/>
  <c r="G39" i="3"/>
  <c r="H39" i="3"/>
  <c r="I36" i="3"/>
  <c r="I39" i="3"/>
  <c r="J36" i="3"/>
  <c r="J39" i="3"/>
  <c r="F39" i="3"/>
  <c r="G38" i="3"/>
  <c r="H38" i="3"/>
  <c r="I35" i="3"/>
  <c r="I38" i="3"/>
  <c r="J35" i="3"/>
  <c r="J38" i="3"/>
  <c r="F38" i="3"/>
  <c r="G37" i="3"/>
  <c r="H37" i="3"/>
  <c r="I37" i="3"/>
  <c r="J37" i="3"/>
  <c r="F37" i="3"/>
  <c r="G31" i="3"/>
  <c r="H31" i="3"/>
  <c r="I28" i="3"/>
  <c r="I31" i="3"/>
  <c r="J28" i="3"/>
  <c r="J31" i="3"/>
  <c r="F31" i="3"/>
  <c r="G30" i="3"/>
  <c r="H30" i="3"/>
  <c r="I27" i="3"/>
  <c r="I30" i="3"/>
  <c r="J27" i="3"/>
  <c r="J30" i="3"/>
  <c r="F30" i="3"/>
  <c r="G29" i="3"/>
  <c r="H29" i="3"/>
  <c r="I29" i="3"/>
  <c r="J29" i="3"/>
  <c r="F29" i="3"/>
  <c r="L47" i="3"/>
  <c r="L46" i="3"/>
  <c r="L45" i="3"/>
  <c r="L39" i="3"/>
  <c r="L38" i="3"/>
  <c r="L37" i="3"/>
  <c r="L31" i="3"/>
  <c r="L30" i="3"/>
  <c r="L29" i="3"/>
  <c r="K20" i="3"/>
  <c r="H11" i="3"/>
  <c r="K23" i="3"/>
  <c r="K19" i="3"/>
  <c r="G11" i="3"/>
  <c r="K22" i="3"/>
  <c r="G23" i="3"/>
  <c r="H23" i="3"/>
  <c r="I20" i="3"/>
  <c r="I23" i="3"/>
  <c r="J20" i="3"/>
  <c r="J23" i="3"/>
  <c r="F23" i="3"/>
  <c r="J19" i="3"/>
  <c r="I19" i="3"/>
  <c r="G22" i="3"/>
  <c r="H22" i="3"/>
  <c r="I22" i="3"/>
  <c r="J22" i="3"/>
  <c r="F22" i="3"/>
  <c r="L22" i="3"/>
  <c r="L23" i="3"/>
  <c r="F21" i="3"/>
  <c r="G21" i="3"/>
  <c r="H21" i="3"/>
  <c r="I21" i="3"/>
  <c r="J21" i="3"/>
  <c r="L21" i="3"/>
  <c r="E13" i="3"/>
  <c r="E12" i="3"/>
  <c r="E11" i="3"/>
  <c r="E10" i="3"/>
  <c r="E20" i="2"/>
  <c r="F28" i="2"/>
  <c r="F29" i="2"/>
  <c r="G28" i="2"/>
  <c r="G45" i="2"/>
  <c r="H45" i="2"/>
  <c r="F45" i="2"/>
  <c r="I45" i="2"/>
  <c r="I44" i="2"/>
  <c r="G40" i="2"/>
  <c r="H40" i="2"/>
  <c r="F40" i="2"/>
  <c r="I40" i="2"/>
  <c r="I39" i="2"/>
  <c r="G35" i="2"/>
  <c r="H35" i="2"/>
  <c r="F35" i="2"/>
  <c r="I35" i="2"/>
  <c r="I34" i="2"/>
  <c r="F30" i="2"/>
  <c r="G29" i="2"/>
  <c r="G30" i="2"/>
  <c r="H29" i="2"/>
  <c r="H30" i="2"/>
  <c r="I30" i="2"/>
  <c r="I29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H28" i="2"/>
</calcChain>
</file>

<file path=xl/sharedStrings.xml><?xml version="1.0" encoding="utf-8"?>
<sst xmlns="http://schemas.openxmlformats.org/spreadsheetml/2006/main" count="145" uniqueCount="72">
  <si>
    <t>sedentary</t>
  </si>
  <si>
    <t>light</t>
  </si>
  <si>
    <t>moderate</t>
  </si>
  <si>
    <t>high</t>
  </si>
  <si>
    <t>Protein</t>
  </si>
  <si>
    <t>Carb targets</t>
  </si>
  <si>
    <t>g</t>
  </si>
  <si>
    <t>%</t>
  </si>
  <si>
    <t>Gender</t>
  </si>
  <si>
    <t>Weight (in kg)</t>
  </si>
  <si>
    <r>
      <t>Women</t>
    </r>
    <r>
      <rPr>
        <sz val="11"/>
        <color rgb="FF000000"/>
        <rFont val="Calibri Light"/>
        <family val="2"/>
        <scheme val="major"/>
      </rPr>
      <t>: BMR = 655 + (9.6 x weight in kg) + (1.8 x height in cm) - (4.7 x age in years)</t>
    </r>
  </si>
  <si>
    <r>
      <t>Men</t>
    </r>
    <r>
      <rPr>
        <sz val="11"/>
        <color rgb="FF000000"/>
        <rFont val="Calibri Light"/>
        <family val="2"/>
        <scheme val="major"/>
      </rPr>
      <t>: BMR = 66 + (13.7 x weight in kg) + (5 x height in cm) - (6.8 x age in years)</t>
    </r>
  </si>
  <si>
    <t>Height (in cm)</t>
  </si>
  <si>
    <t>Age</t>
  </si>
  <si>
    <t>Male</t>
  </si>
  <si>
    <t>Female</t>
  </si>
  <si>
    <t>BMR =</t>
  </si>
  <si>
    <t>Calorie Targets:</t>
  </si>
  <si>
    <t>Inputs:</t>
  </si>
  <si>
    <t>Carbs</t>
  </si>
  <si>
    <t>Fats</t>
  </si>
  <si>
    <t>Cals / g</t>
  </si>
  <si>
    <t>CARB</t>
  </si>
  <si>
    <t>PROTEIN</t>
  </si>
  <si>
    <t>FAT</t>
  </si>
  <si>
    <t>SEDENTARY</t>
  </si>
  <si>
    <t>Cals</t>
  </si>
  <si>
    <t>Protein g/lb Bodyweight</t>
  </si>
  <si>
    <t>Protein Target</t>
  </si>
  <si>
    <t>LIGHT</t>
  </si>
  <si>
    <t>MODERATE</t>
  </si>
  <si>
    <t>HIGH</t>
  </si>
  <si>
    <t>Weight Goals Gain / (Loss)</t>
  </si>
  <si>
    <t>&lt;--Select Additional daily calories for gain or reduce for weight loss</t>
  </si>
  <si>
    <t>Daily Calorie Change</t>
  </si>
  <si>
    <t>BMR Formula - Harris-Benedict</t>
  </si>
  <si>
    <t>LIGHT Training / No Training</t>
  </si>
  <si>
    <t>&lt; 5 reps per set</t>
  </si>
  <si>
    <t>&lt; 6 sets lower body</t>
  </si>
  <si>
    <t>&lt; 10 sets upper body</t>
  </si>
  <si>
    <t>MODERATE Training</t>
  </si>
  <si>
    <t>HIGH Training</t>
  </si>
  <si>
    <t>5 reps per set</t>
  </si>
  <si>
    <t>6+ sets lower body</t>
  </si>
  <si>
    <t>10+ sets upper body</t>
  </si>
  <si>
    <t>10 reps per set</t>
  </si>
  <si>
    <t>RENAISSANCE DIET</t>
  </si>
  <si>
    <t>Meals per Day - Training</t>
  </si>
  <si>
    <t>Meals</t>
  </si>
  <si>
    <t>Non Training Day</t>
  </si>
  <si>
    <t>Light Training Day</t>
  </si>
  <si>
    <t>Moderate Training Day</t>
  </si>
  <si>
    <t>High Training Day</t>
  </si>
  <si>
    <t>Fat</t>
  </si>
  <si>
    <t xml:space="preserve">  &lt;-- Select meals per day</t>
  </si>
  <si>
    <t>MEAL 1</t>
  </si>
  <si>
    <t>MEAL 2</t>
  </si>
  <si>
    <t>MEAL 3</t>
  </si>
  <si>
    <t>MEAL 4</t>
  </si>
  <si>
    <t>MEAL 5</t>
  </si>
  <si>
    <t>MEAL 6</t>
  </si>
  <si>
    <t>Pre-Train</t>
  </si>
  <si>
    <t>Mid-Train</t>
  </si>
  <si>
    <t>Post Train</t>
  </si>
  <si>
    <t>TOTAL</t>
  </si>
  <si>
    <t>Carb Meal Split</t>
  </si>
  <si>
    <t>Fat Meal Split</t>
  </si>
  <si>
    <t>LIGHT Training Day</t>
  </si>
  <si>
    <t>MODERATE Training Day</t>
  </si>
  <si>
    <t>HIGH Training Day</t>
  </si>
  <si>
    <t>REST Day - No Training</t>
  </si>
  <si>
    <t>Complete the inputs on the Macro Calculator tab first!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</si>
</sst>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 Light"/>
      <scheme val="major"/>
    </font>
    <font>
      <b/>
      <u/>
      <sz val="14"/>
      <color theme="1"/>
      <name val="Calibri Light"/>
      <scheme val="major"/>
    </font>
    <font>
      <i/>
      <sz val="11"/>
      <color theme="1" tint="0.34998626667073579"/>
      <name val="Calibri Light"/>
      <scheme val="major"/>
    </font>
    <font>
      <i/>
      <u/>
      <sz val="11"/>
      <color theme="1" tint="0.34998626667073579"/>
      <name val="Calibri Light"/>
      <scheme val="major"/>
    </font>
    <font>
      <i/>
      <sz val="11"/>
      <color theme="1" tint="0.34998626667073579"/>
      <name val="Calibri"/>
      <scheme val="minor"/>
    </font>
    <font>
      <b/>
      <sz val="14"/>
      <color theme="1"/>
      <name val="Calibri Light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7F7F7F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2" borderId="1" applyNumberFormat="0" applyAlignment="0" applyProtection="0"/>
    <xf numFmtId="0" fontId="6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4" borderId="2" xfId="0" applyFont="1" applyFill="1" applyBorder="1"/>
    <xf numFmtId="0" fontId="5" fillId="2" borderId="1" xfId="3"/>
    <xf numFmtId="0" fontId="5" fillId="2" borderId="1" xfId="3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3" xfId="0" applyFont="1" applyBorder="1"/>
    <xf numFmtId="0" fontId="3" fillId="0" borderId="4" xfId="0" applyFont="1" applyBorder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0" fillId="0" borderId="3" xfId="0" applyBorder="1"/>
    <xf numFmtId="165" fontId="6" fillId="3" borderId="1" xfId="2" applyNumberFormat="1" applyFont="1" applyFill="1" applyBorder="1"/>
    <xf numFmtId="165" fontId="2" fillId="0" borderId="0" xfId="2" applyNumberFormat="1" applyFont="1"/>
    <xf numFmtId="0" fontId="0" fillId="4" borderId="2" xfId="0" applyFill="1" applyBorder="1"/>
    <xf numFmtId="0" fontId="0" fillId="0" borderId="2" xfId="0" applyBorder="1"/>
    <xf numFmtId="1" fontId="6" fillId="3" borderId="1" xfId="4" applyNumberFormat="1"/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/>
    <xf numFmtId="1" fontId="2" fillId="0" borderId="2" xfId="0" applyNumberFormat="1" applyFont="1" applyFill="1" applyBorder="1"/>
    <xf numFmtId="0" fontId="2" fillId="5" borderId="2" xfId="0" applyFont="1" applyFill="1" applyBorder="1"/>
    <xf numFmtId="9" fontId="2" fillId="5" borderId="2" xfId="1" applyFont="1" applyFill="1" applyBorder="1"/>
    <xf numFmtId="0" fontId="2" fillId="0" borderId="0" xfId="0" applyFont="1" applyBorder="1"/>
    <xf numFmtId="0" fontId="11" fillId="0" borderId="0" xfId="0" quotePrefix="1" applyFont="1"/>
    <xf numFmtId="0" fontId="0" fillId="0" borderId="0" xfId="0" applyBorder="1"/>
    <xf numFmtId="0" fontId="2" fillId="6" borderId="0" xfId="0" applyFont="1" applyFill="1"/>
    <xf numFmtId="0" fontId="0" fillId="6" borderId="0" xfId="0" applyFill="1" applyBorder="1"/>
    <xf numFmtId="0" fontId="12" fillId="0" borderId="0" xfId="0" applyFont="1"/>
    <xf numFmtId="0" fontId="0" fillId="0" borderId="7" xfId="0" applyBorder="1" applyAlignment="1">
      <alignment horizontal="center"/>
    </xf>
    <xf numFmtId="1" fontId="0" fillId="0" borderId="2" xfId="0" applyNumberFormat="1" applyBorder="1"/>
    <xf numFmtId="165" fontId="6" fillId="3" borderId="1" xfId="4" applyNumberFormat="1"/>
    <xf numFmtId="0" fontId="13" fillId="0" borderId="0" xfId="0" quotePrefix="1" applyFont="1"/>
    <xf numFmtId="9" fontId="0" fillId="0" borderId="2" xfId="0" applyNumberFormat="1" applyBorder="1"/>
    <xf numFmtId="9" fontId="0" fillId="0" borderId="2" xfId="1" applyNumberFormat="1" applyFont="1" applyBorder="1"/>
    <xf numFmtId="0" fontId="0" fillId="5" borderId="2" xfId="0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0" fillId="5" borderId="8" xfId="0" applyFill="1" applyBorder="1"/>
    <xf numFmtId="0" fontId="0" fillId="0" borderId="9" xfId="0" applyBorder="1"/>
    <xf numFmtId="0" fontId="0" fillId="5" borderId="0" xfId="0" applyFill="1"/>
    <xf numFmtId="9" fontId="0" fillId="5" borderId="0" xfId="0" applyNumberFormat="1" applyFill="1"/>
    <xf numFmtId="9" fontId="0" fillId="5" borderId="0" xfId="1" applyFont="1" applyFill="1"/>
    <xf numFmtId="0" fontId="0" fillId="0" borderId="0" xfId="0" applyFill="1"/>
    <xf numFmtId="9" fontId="0" fillId="0" borderId="0" xfId="0" applyNumberFormat="1" applyFill="1"/>
    <xf numFmtId="9" fontId="0" fillId="0" borderId="0" xfId="1" applyFont="1" applyFill="1"/>
    <xf numFmtId="0" fontId="0" fillId="0" borderId="0" xfId="0" applyAlignment="1"/>
    <xf numFmtId="0" fontId="0" fillId="0" borderId="9" xfId="0" applyBorder="1" applyAlignment="1"/>
    <xf numFmtId="0" fontId="14" fillId="7" borderId="4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</cellXfs>
  <cellStyles count="41">
    <cellStyle name="Calculation" xfId="4" builtinId="22"/>
    <cellStyle name="Comma" xfId="2" builtinId="3"/>
    <cellStyle name="Followed Link" xfId="6" builtinId="9" hidden="1"/>
    <cellStyle name="Followed Link" xfId="8" builtinId="9" hidden="1"/>
    <cellStyle name="Followed Link" xfId="10" builtinId="9" hidden="1"/>
    <cellStyle name="Followed Link" xfId="12" builtinId="9" hidden="1"/>
    <cellStyle name="Followed Link" xfId="14" builtinId="9" hidden="1"/>
    <cellStyle name="Followed Link" xfId="16" builtinId="9" hidden="1"/>
    <cellStyle name="Followed Link" xfId="18" builtinId="9" hidden="1"/>
    <cellStyle name="Followed Link" xfId="20" builtinId="9" hidden="1"/>
    <cellStyle name="Followed Link" xfId="22" builtinId="9" hidden="1"/>
    <cellStyle name="Followed Link" xfId="24" builtinId="9" hidden="1"/>
    <cellStyle name="Followed Link" xfId="26" builtinId="9" hidden="1"/>
    <cellStyle name="Followed Link" xfId="28" builtinId="9" hidden="1"/>
    <cellStyle name="Followed Link" xfId="30" builtinId="9" hidden="1"/>
    <cellStyle name="Followed Link" xfId="32" builtinId="9" hidden="1"/>
    <cellStyle name="Followed Link" xfId="34" builtinId="9" hidden="1"/>
    <cellStyle name="Followed Link" xfId="36" builtinId="9" hidden="1"/>
    <cellStyle name="Followed Link" xfId="38" builtinId="9" hidden="1"/>
    <cellStyle name="Followed Link" xfId="40" builtinId="9" hidden="1"/>
    <cellStyle name="Input" xfId="3" builtinId="20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M47"/>
  <sheetViews>
    <sheetView showGridLines="0" topLeftCell="A9" zoomScale="125" zoomScaleNormal="125" zoomScalePageLayoutView="125" workbookViewId="0">
      <selection activeCell="M21" sqref="M21"/>
    </sheetView>
  </sheetViews>
  <sheetFormatPr baseColWidth="10" defaultColWidth="8.83203125" defaultRowHeight="15" x14ac:dyDescent="0.2"/>
  <cols>
    <col min="1" max="1" width="1.5" style="1" customWidth="1"/>
    <col min="2" max="3" width="1.33203125" style="1" customWidth="1"/>
    <col min="4" max="4" width="20.33203125" style="1" customWidth="1"/>
    <col min="5" max="5" width="9.6640625" style="1" bestFit="1" customWidth="1"/>
    <col min="6" max="9" width="8.83203125" style="1"/>
    <col min="10" max="11" width="1.33203125" style="1" customWidth="1"/>
    <col min="12" max="12" width="1.83203125" style="1" customWidth="1"/>
    <col min="13" max="16384" width="8.83203125" style="1"/>
  </cols>
  <sheetData>
    <row r="1" spans="4:10" ht="19" x14ac:dyDescent="0.25">
      <c r="D1" s="7" t="s">
        <v>35</v>
      </c>
    </row>
    <row r="2" spans="4:10" ht="10" customHeight="1" x14ac:dyDescent="0.2"/>
    <row r="3" spans="4:10" x14ac:dyDescent="0.2">
      <c r="D3" s="9" t="s">
        <v>10</v>
      </c>
      <c r="E3" s="10"/>
      <c r="F3" s="10"/>
      <c r="G3" s="10"/>
      <c r="H3" s="10"/>
      <c r="I3" s="10"/>
      <c r="J3" s="11"/>
    </row>
    <row r="4" spans="4:10" x14ac:dyDescent="0.2">
      <c r="D4" s="9" t="s">
        <v>11</v>
      </c>
      <c r="E4" s="10"/>
      <c r="F4" s="10"/>
      <c r="G4" s="10"/>
      <c r="H4" s="10"/>
      <c r="I4" s="10"/>
      <c r="J4" s="11"/>
    </row>
    <row r="5" spans="4:10" ht="9" customHeight="1" x14ac:dyDescent="0.2"/>
    <row r="6" spans="4:10" x14ac:dyDescent="0.2">
      <c r="D6" s="6" t="s">
        <v>18</v>
      </c>
    </row>
    <row r="7" spans="4:10" ht="8" customHeight="1" x14ac:dyDescent="0.2"/>
    <row r="8" spans="4:10" ht="16" x14ac:dyDescent="0.2">
      <c r="D8" s="8" t="s">
        <v>8</v>
      </c>
      <c r="E8" s="5" t="s">
        <v>15</v>
      </c>
    </row>
    <row r="9" spans="4:10" ht="16" x14ac:dyDescent="0.2">
      <c r="D9" s="8" t="s">
        <v>9</v>
      </c>
      <c r="E9" s="4">
        <v>108</v>
      </c>
      <c r="F9" s="17">
        <f>2.205*bodyweight</f>
        <v>238.14000000000001</v>
      </c>
    </row>
    <row r="10" spans="4:10" ht="16" x14ac:dyDescent="0.2">
      <c r="D10" s="8" t="s">
        <v>12</v>
      </c>
      <c r="E10" s="4">
        <v>164</v>
      </c>
    </row>
    <row r="11" spans="4:10" ht="16" x14ac:dyDescent="0.2">
      <c r="D11" s="8" t="s">
        <v>13</v>
      </c>
      <c r="E11" s="4">
        <v>45</v>
      </c>
    </row>
    <row r="12" spans="4:10" ht="16" x14ac:dyDescent="0.2">
      <c r="D12" s="8" t="s">
        <v>27</v>
      </c>
      <c r="E12" s="4">
        <v>0.8</v>
      </c>
    </row>
    <row r="13" spans="4:10" ht="9" customHeight="1" x14ac:dyDescent="0.2"/>
    <row r="14" spans="4:10" ht="16" x14ac:dyDescent="0.2">
      <c r="D14" s="8" t="s">
        <v>16</v>
      </c>
      <c r="E14" s="13">
        <f>IF($E$8="Female",655+(9.6*$E$9)+(1.8*$E$10)-(4.7*$E$11),66+(13.7*$E$9)+(5*$E$10)-(6.8*$E$11))</f>
        <v>1775.5</v>
      </c>
    </row>
    <row r="15" spans="4:10" ht="10" customHeight="1" x14ac:dyDescent="0.2">
      <c r="D15" s="23"/>
      <c r="E15" s="14"/>
    </row>
    <row r="16" spans="4:10" ht="16" x14ac:dyDescent="0.2">
      <c r="D16" s="2" t="s">
        <v>32</v>
      </c>
      <c r="E16" s="4">
        <v>-250</v>
      </c>
      <c r="G16" s="24" t="s">
        <v>33</v>
      </c>
    </row>
    <row r="17" spans="2:13" ht="9" customHeight="1" x14ac:dyDescent="0.2">
      <c r="E17" s="14"/>
    </row>
    <row r="18" spans="2:13" x14ac:dyDescent="0.2">
      <c r="D18" s="6" t="s">
        <v>17</v>
      </c>
      <c r="E18" s="14"/>
    </row>
    <row r="19" spans="2:13" ht="8" customHeight="1" x14ac:dyDescent="0.2">
      <c r="E19" s="14"/>
    </row>
    <row r="20" spans="2:13" ht="16" x14ac:dyDescent="0.2">
      <c r="D20" s="12" t="s">
        <v>0</v>
      </c>
      <c r="E20" s="13">
        <f>$E$14*1.2+CAL_ADJ</f>
        <v>1880.6</v>
      </c>
    </row>
    <row r="21" spans="2:13" ht="16" x14ac:dyDescent="0.2">
      <c r="D21" s="12" t="s">
        <v>1</v>
      </c>
      <c r="E21" s="13">
        <f>$E$14*1.375+CAL_ADJ</f>
        <v>2191.3125</v>
      </c>
    </row>
    <row r="22" spans="2:13" ht="16" x14ac:dyDescent="0.2">
      <c r="D22" s="12" t="s">
        <v>2</v>
      </c>
      <c r="E22" s="13">
        <f>$E$14*1.55+CAL_ADJ</f>
        <v>2502.0250000000001</v>
      </c>
    </row>
    <row r="23" spans="2:13" ht="16" x14ac:dyDescent="0.2">
      <c r="D23" s="12" t="s">
        <v>3</v>
      </c>
      <c r="E23" s="13">
        <f>$E$14*1.725+CAL_ADJ</f>
        <v>2812.7375000000002</v>
      </c>
    </row>
    <row r="24" spans="2:13" ht="9" customHeight="1" x14ac:dyDescent="0.2">
      <c r="D24" s="25"/>
    </row>
    <row r="25" spans="2:13" ht="8" customHeight="1" x14ac:dyDescent="0.2">
      <c r="B25" s="26"/>
      <c r="C25" s="26"/>
      <c r="D25" s="27"/>
      <c r="E25" s="26"/>
      <c r="F25" s="26"/>
      <c r="G25" s="26"/>
      <c r="H25" s="26"/>
      <c r="I25" s="26"/>
      <c r="J25" s="26"/>
      <c r="K25" s="26"/>
    </row>
    <row r="26" spans="2:13" ht="8" customHeight="1" x14ac:dyDescent="0.2">
      <c r="B26" s="26"/>
      <c r="D26" s="25"/>
      <c r="K26" s="26"/>
    </row>
    <row r="27" spans="2:13" x14ac:dyDescent="0.2">
      <c r="B27" s="26"/>
      <c r="F27" s="18" t="s">
        <v>23</v>
      </c>
      <c r="G27" s="18" t="s">
        <v>22</v>
      </c>
      <c r="H27" s="18" t="s">
        <v>24</v>
      </c>
      <c r="K27" s="26"/>
    </row>
    <row r="28" spans="2:13" x14ac:dyDescent="0.2">
      <c r="B28" s="26"/>
      <c r="D28" s="52" t="s">
        <v>25</v>
      </c>
      <c r="E28" s="2" t="s">
        <v>6</v>
      </c>
      <c r="F28" s="19">
        <f>protein_target*bodyweight_lb</f>
        <v>190.51200000000003</v>
      </c>
      <c r="G28" s="20">
        <f>IF(sedentary-F29-(prot_carb_cal*bodyweight_lb*sed_carbs)&lt;(bodyweight_lb/10*fat_cal),(sedentary-F29-bodyweight_lb/10*fat_cal)/ prot_carb_cal,bodyweight_lb*sed_carbs)</f>
        <v>119.07000000000001</v>
      </c>
      <c r="H28" s="20">
        <f>H29/fat_cal</f>
        <v>71.363555555555521</v>
      </c>
      <c r="K28" s="26"/>
    </row>
    <row r="29" spans="2:13" x14ac:dyDescent="0.2">
      <c r="B29" s="26"/>
      <c r="D29" s="52"/>
      <c r="E29" s="2" t="s">
        <v>26</v>
      </c>
      <c r="F29" s="19">
        <f>prot_carb_cal*F28</f>
        <v>762.04800000000012</v>
      </c>
      <c r="G29" s="20">
        <f>prot_carb_cal*G28</f>
        <v>476.28000000000003</v>
      </c>
      <c r="H29" s="20">
        <f>IF(((sedentary-SUM(F29:G29))/fat_cal)&lt;bodyweight_lb/10,bodyweight_lb/10*fat_cal,sedentary-SUM(F29:G29))</f>
        <v>642.27199999999971</v>
      </c>
      <c r="I29" s="19">
        <f>SUM(F29:H29)</f>
        <v>1880.6</v>
      </c>
      <c r="K29" s="26"/>
    </row>
    <row r="30" spans="2:13" x14ac:dyDescent="0.2">
      <c r="B30" s="26"/>
      <c r="D30" s="52"/>
      <c r="E30" s="21" t="s">
        <v>7</v>
      </c>
      <c r="F30" s="22">
        <f>F29/sedentary</f>
        <v>0.40521535680102105</v>
      </c>
      <c r="G30" s="22">
        <f>G29/sedentary</f>
        <v>0.25325959800063813</v>
      </c>
      <c r="H30" s="22">
        <f>H29/sedentary</f>
        <v>0.34152504519834082</v>
      </c>
      <c r="I30" s="22">
        <f>SUM(F30:H30)</f>
        <v>1</v>
      </c>
      <c r="K30" s="26"/>
    </row>
    <row r="31" spans="2:13" ht="8" customHeight="1" x14ac:dyDescent="0.2">
      <c r="B31" s="26"/>
      <c r="K31" s="26"/>
    </row>
    <row r="32" spans="2:13" x14ac:dyDescent="0.2">
      <c r="B32" s="26"/>
      <c r="F32" s="18" t="s">
        <v>23</v>
      </c>
      <c r="G32" s="18" t="s">
        <v>22</v>
      </c>
      <c r="H32" s="18" t="s">
        <v>24</v>
      </c>
      <c r="K32" s="26"/>
      <c r="M32" s="28" t="s">
        <v>36</v>
      </c>
    </row>
    <row r="33" spans="2:13" x14ac:dyDescent="0.2">
      <c r="B33" s="26"/>
      <c r="D33" s="52" t="s">
        <v>29</v>
      </c>
      <c r="E33" s="2" t="s">
        <v>6</v>
      </c>
      <c r="F33" s="19">
        <f>protein_target*bodyweight_lb</f>
        <v>190.51200000000003</v>
      </c>
      <c r="G33" s="20">
        <f>IF(light-F34-(prot_carb_cal*bodyweight_lb*light_carbs)&lt;(bodyweight_lb/10*fat_cal),(light-F34-bodyweight_lb/10*fat_cal)/ prot_carb_cal,bodyweight_lb*light_carbs)</f>
        <v>238.14000000000001</v>
      </c>
      <c r="H33" s="20">
        <f>H34/fat_cal</f>
        <v>52.96716666666665</v>
      </c>
      <c r="K33" s="26"/>
      <c r="M33" s="24" t="s">
        <v>37</v>
      </c>
    </row>
    <row r="34" spans="2:13" x14ac:dyDescent="0.2">
      <c r="B34" s="26"/>
      <c r="D34" s="52"/>
      <c r="E34" s="2" t="s">
        <v>26</v>
      </c>
      <c r="F34" s="19">
        <f>prot_carb_cal*F33</f>
        <v>762.04800000000012</v>
      </c>
      <c r="G34" s="20">
        <f>prot_carb_cal*G33</f>
        <v>952.56000000000006</v>
      </c>
      <c r="H34" s="20">
        <f>IF(((light-SUM(F34:G34))/fat_cal)&lt;bodyweight_lb/10,bodyweight_lb/10*fat_cal,light-SUM(F34:G34))</f>
        <v>476.70449999999983</v>
      </c>
      <c r="I34" s="19">
        <f>SUM(F34:H34)</f>
        <v>2191.3125</v>
      </c>
      <c r="K34" s="26"/>
      <c r="M34" s="24" t="s">
        <v>38</v>
      </c>
    </row>
    <row r="35" spans="2:13" x14ac:dyDescent="0.2">
      <c r="B35" s="26"/>
      <c r="D35" s="52"/>
      <c r="E35" s="21" t="s">
        <v>7</v>
      </c>
      <c r="F35" s="22">
        <f>F34/light</f>
        <v>0.34775870625481309</v>
      </c>
      <c r="G35" s="22">
        <f>G34/light</f>
        <v>0.4346983828185163</v>
      </c>
      <c r="H35" s="22">
        <f>H34/light</f>
        <v>0.21754291092667058</v>
      </c>
      <c r="I35" s="22">
        <f>SUM(F35:H35)</f>
        <v>0.99999999999999989</v>
      </c>
      <c r="K35" s="26"/>
      <c r="M35" s="24" t="s">
        <v>39</v>
      </c>
    </row>
    <row r="36" spans="2:13" ht="8" customHeight="1" x14ac:dyDescent="0.2">
      <c r="B36" s="26"/>
      <c r="K36" s="26"/>
    </row>
    <row r="37" spans="2:13" x14ac:dyDescent="0.2">
      <c r="B37" s="26"/>
      <c r="F37" s="18" t="s">
        <v>23</v>
      </c>
      <c r="G37" s="18" t="s">
        <v>22</v>
      </c>
      <c r="H37" s="18" t="s">
        <v>24</v>
      </c>
      <c r="K37" s="26"/>
      <c r="M37" s="28" t="s">
        <v>40</v>
      </c>
    </row>
    <row r="38" spans="2:13" x14ac:dyDescent="0.2">
      <c r="B38" s="26"/>
      <c r="D38" s="52" t="s">
        <v>30</v>
      </c>
      <c r="E38" s="2" t="s">
        <v>6</v>
      </c>
      <c r="F38" s="20">
        <f>protein_target*bodyweight_lb</f>
        <v>190.51200000000003</v>
      </c>
      <c r="G38" s="20">
        <f>IF(moderate-F39-(prot_carb_cal*bodyweight_lb*mod_carbs)&lt;(bodyweight_lb/10*fat_cal),(moderate-F39-bodyweight_lb/10*fat_cal)/ prot_carb_cal,bodyweight_lb*mod_carbs)</f>
        <v>357.21000000000004</v>
      </c>
      <c r="H38" s="20">
        <f>H39/fat_cal</f>
        <v>34.570777777777749</v>
      </c>
      <c r="K38" s="26"/>
      <c r="M38" s="24" t="s">
        <v>42</v>
      </c>
    </row>
    <row r="39" spans="2:13" x14ac:dyDescent="0.2">
      <c r="B39" s="26"/>
      <c r="D39" s="52"/>
      <c r="E39" s="2" t="s">
        <v>26</v>
      </c>
      <c r="F39" s="20">
        <f>prot_carb_cal*F38</f>
        <v>762.04800000000012</v>
      </c>
      <c r="G39" s="20">
        <f>prot_carb_cal*G38</f>
        <v>1428.8400000000001</v>
      </c>
      <c r="H39" s="20">
        <f>IF(((moderate-SUM(F39:G39))/fat_cal)&lt;bodyweight_lb/10,bodyweight_lb/10*fat_cal,moderate-SUM(F39:G39))</f>
        <v>311.13699999999972</v>
      </c>
      <c r="I39" s="19">
        <f>SUM(F39:H39)</f>
        <v>2502.0250000000001</v>
      </c>
      <c r="K39" s="26"/>
      <c r="M39" s="24" t="s">
        <v>43</v>
      </c>
    </row>
    <row r="40" spans="2:13" x14ac:dyDescent="0.2">
      <c r="B40" s="26"/>
      <c r="D40" s="52"/>
      <c r="E40" s="21" t="s">
        <v>7</v>
      </c>
      <c r="F40" s="22">
        <f>F39/moderate</f>
        <v>0.30457249627801486</v>
      </c>
      <c r="G40" s="22">
        <f>G39/moderate</f>
        <v>0.57107343052127779</v>
      </c>
      <c r="H40" s="22">
        <f>H39/moderate</f>
        <v>0.12435407320070731</v>
      </c>
      <c r="I40" s="22">
        <f>SUM(F40:H40)</f>
        <v>1</v>
      </c>
      <c r="K40" s="26"/>
      <c r="M40" s="24" t="s">
        <v>44</v>
      </c>
    </row>
    <row r="41" spans="2:13" ht="8" customHeight="1" x14ac:dyDescent="0.2">
      <c r="B41" s="26"/>
      <c r="K41" s="26"/>
    </row>
    <row r="42" spans="2:13" x14ac:dyDescent="0.2">
      <c r="B42" s="26"/>
      <c r="F42" s="18" t="s">
        <v>23</v>
      </c>
      <c r="G42" s="18" t="s">
        <v>22</v>
      </c>
      <c r="H42" s="18" t="s">
        <v>24</v>
      </c>
      <c r="K42" s="26"/>
      <c r="M42" s="28" t="s">
        <v>41</v>
      </c>
    </row>
    <row r="43" spans="2:13" x14ac:dyDescent="0.2">
      <c r="B43" s="26"/>
      <c r="D43" s="52" t="s">
        <v>31</v>
      </c>
      <c r="E43" s="2" t="s">
        <v>6</v>
      </c>
      <c r="F43" s="19">
        <f>protein_target*bodyweight_lb</f>
        <v>190.51200000000003</v>
      </c>
      <c r="G43" s="20">
        <f>IF(high-F44-(prot_carb_cal*bodyweight_lb*high_carbs)&lt;(bodyweight_lb/10*fat_cal),(high-F44-bodyweight_lb/10*fat_cal)/ prot_carb_cal,bodyweight_lb*high_carbs)</f>
        <v>459.09087499999998</v>
      </c>
      <c r="H43" s="20">
        <f>H44/fat_cal</f>
        <v>23.814000000000004</v>
      </c>
      <c r="K43" s="26"/>
      <c r="M43" s="24" t="s">
        <v>45</v>
      </c>
    </row>
    <row r="44" spans="2:13" x14ac:dyDescent="0.2">
      <c r="B44" s="26"/>
      <c r="D44" s="52"/>
      <c r="E44" s="2" t="s">
        <v>26</v>
      </c>
      <c r="F44" s="19">
        <f>prot_carb_cal*F43</f>
        <v>762.04800000000012</v>
      </c>
      <c r="G44" s="20">
        <f>prot_carb_cal*G43</f>
        <v>1836.3634999999999</v>
      </c>
      <c r="H44" s="20">
        <f>IF(((high-SUM(F44:G44))/fat_cal)&lt;bodyweight_lb/10,bodyweight_lb/10*fat_cal,high-SUM(F44:G44))</f>
        <v>214.32600000000002</v>
      </c>
      <c r="I44" s="19">
        <f>SUM(F44:H44)</f>
        <v>2812.7375000000002</v>
      </c>
      <c r="K44" s="26"/>
      <c r="M44" s="24" t="s">
        <v>43</v>
      </c>
    </row>
    <row r="45" spans="2:13" x14ac:dyDescent="0.2">
      <c r="B45" s="26"/>
      <c r="D45" s="52"/>
      <c r="E45" s="21" t="s">
        <v>7</v>
      </c>
      <c r="F45" s="22">
        <f>F44/high</f>
        <v>0.27092752167594741</v>
      </c>
      <c r="G45" s="22">
        <f>G44/high</f>
        <v>0.65287411285269237</v>
      </c>
      <c r="H45" s="22">
        <f>H44/high</f>
        <v>7.6198365471360205E-2</v>
      </c>
      <c r="I45" s="22">
        <f>SUM(F45:H45)</f>
        <v>0.99999999999999989</v>
      </c>
      <c r="K45" s="26"/>
      <c r="M45" s="24" t="s">
        <v>44</v>
      </c>
    </row>
    <row r="46" spans="2:13" ht="8" customHeight="1" x14ac:dyDescent="0.2">
      <c r="B46" s="26"/>
      <c r="K46" s="26"/>
    </row>
    <row r="47" spans="2:13" ht="8" customHeight="1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</row>
  </sheetData>
  <mergeCells count="4">
    <mergeCell ref="D43:D45"/>
    <mergeCell ref="D28:D30"/>
    <mergeCell ref="D33:D35"/>
    <mergeCell ref="D38:D40"/>
  </mergeCells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values!$A$1:$A$2</xm:f>
          </x14:formula1>
          <xm:sqref>E8</xm:sqref>
        </x14:dataValidation>
        <x14:dataValidation type="list" allowBlank="1" showInputMessage="1" showErrorMessage="1">
          <x14:formula1>
            <xm:f>values!$I$2:$I$7</xm:f>
          </x14:formula1>
          <xm:sqref>E12</xm:sqref>
        </x14:dataValidation>
        <x14:dataValidation type="list" allowBlank="1" showInputMessage="1" showErrorMessage="1">
          <x14:formula1>
            <xm:f>values!$K$2:$K$18</xm:f>
          </x14:formula1>
          <xm:sqref>E16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N49"/>
  <sheetViews>
    <sheetView showGridLines="0" tabSelected="1" topLeftCell="B5" workbookViewId="0">
      <selection activeCell="B32" sqref="A32:XFD39"/>
    </sheetView>
  </sheetViews>
  <sheetFormatPr baseColWidth="10" defaultRowHeight="15" x14ac:dyDescent="0.2"/>
  <cols>
    <col min="1" max="1" width="5.83203125" customWidth="1"/>
    <col min="2" max="3" width="1.33203125" customWidth="1"/>
    <col min="4" max="4" width="20.33203125" customWidth="1"/>
    <col min="5" max="5" width="10.33203125" customWidth="1"/>
    <col min="6" max="12" width="9.1640625" customWidth="1"/>
    <col min="13" max="14" width="1.33203125" customWidth="1"/>
  </cols>
  <sheetData>
    <row r="1" spans="2:14" ht="19" x14ac:dyDescent="0.25">
      <c r="D1" s="7" t="s">
        <v>46</v>
      </c>
    </row>
    <row r="2" spans="2:14" ht="10" customHeight="1" x14ac:dyDescent="0.25">
      <c r="D2" s="7"/>
    </row>
    <row r="3" spans="2:14" ht="19" x14ac:dyDescent="0.25">
      <c r="D3" s="49" t="s">
        <v>71</v>
      </c>
      <c r="E3" s="50"/>
      <c r="F3" s="50"/>
      <c r="G3" s="50"/>
      <c r="H3" s="51"/>
    </row>
    <row r="5" spans="2:14" x14ac:dyDescent="0.2">
      <c r="D5" s="6" t="s">
        <v>18</v>
      </c>
      <c r="E5" s="1"/>
    </row>
    <row r="6" spans="2:14" ht="10" customHeight="1" x14ac:dyDescent="0.2">
      <c r="D6" s="1"/>
      <c r="E6" s="1"/>
    </row>
    <row r="7" spans="2:14" ht="16" x14ac:dyDescent="0.2">
      <c r="D7" s="8" t="s">
        <v>47</v>
      </c>
      <c r="E7" s="5">
        <v>5</v>
      </c>
      <c r="F7" s="32" t="s">
        <v>54</v>
      </c>
    </row>
    <row r="8" spans="2:14" ht="10" customHeight="1" x14ac:dyDescent="0.2"/>
    <row r="9" spans="2:14" x14ac:dyDescent="0.2">
      <c r="E9" s="29" t="s">
        <v>26</v>
      </c>
      <c r="F9" s="29" t="s">
        <v>4</v>
      </c>
      <c r="G9" s="29" t="s">
        <v>19</v>
      </c>
      <c r="H9" s="29" t="s">
        <v>53</v>
      </c>
    </row>
    <row r="10" spans="2:14" ht="16" x14ac:dyDescent="0.2">
      <c r="D10" s="16" t="s">
        <v>49</v>
      </c>
      <c r="E10" s="31">
        <f>light</f>
        <v>2191.3125</v>
      </c>
      <c r="F10" s="17">
        <f>'Macro Calculator'!F33</f>
        <v>190.51200000000003</v>
      </c>
      <c r="G10" s="17">
        <f>'Macro Calculator'!G33</f>
        <v>238.14000000000001</v>
      </c>
      <c r="H10" s="17">
        <f>'Macro Calculator'!H33</f>
        <v>52.96716666666665</v>
      </c>
    </row>
    <row r="11" spans="2:14" ht="16" x14ac:dyDescent="0.2">
      <c r="D11" s="16" t="s">
        <v>50</v>
      </c>
      <c r="E11" s="31">
        <f>light</f>
        <v>2191.3125</v>
      </c>
      <c r="F11" s="17">
        <f>'Macro Calculator'!F33</f>
        <v>190.51200000000003</v>
      </c>
      <c r="G11" s="17">
        <f>'Macro Calculator'!G33</f>
        <v>238.14000000000001</v>
      </c>
      <c r="H11" s="17">
        <f>'Macro Calculator'!H33</f>
        <v>52.96716666666665</v>
      </c>
    </row>
    <row r="12" spans="2:14" ht="16" x14ac:dyDescent="0.2">
      <c r="D12" s="16" t="s">
        <v>51</v>
      </c>
      <c r="E12" s="31">
        <f>moderate</f>
        <v>2502.0250000000001</v>
      </c>
      <c r="F12" s="17">
        <f>'Macro Calculator'!F38</f>
        <v>190.51200000000003</v>
      </c>
      <c r="G12" s="17">
        <f>'Macro Calculator'!G38</f>
        <v>357.21000000000004</v>
      </c>
      <c r="H12" s="17">
        <f>'Macro Calculator'!H38</f>
        <v>34.570777777777749</v>
      </c>
    </row>
    <row r="13" spans="2:14" ht="16" x14ac:dyDescent="0.2">
      <c r="D13" s="16" t="s">
        <v>52</v>
      </c>
      <c r="E13" s="31">
        <f>high</f>
        <v>2812.7375000000002</v>
      </c>
      <c r="F13" s="17">
        <f>'Macro Calculator'!F43</f>
        <v>190.51200000000003</v>
      </c>
      <c r="G13" s="17">
        <f>'Macro Calculator'!G43</f>
        <v>459.09087499999998</v>
      </c>
      <c r="H13" s="17">
        <f>'Macro Calculator'!H43</f>
        <v>23.814000000000004</v>
      </c>
    </row>
    <row r="15" spans="2:14" ht="8" customHeight="1" x14ac:dyDescent="0.2">
      <c r="B15" s="41"/>
      <c r="C15" s="41"/>
      <c r="D15" s="41"/>
      <c r="E15" s="41"/>
      <c r="F15" s="42"/>
      <c r="G15" s="42"/>
      <c r="H15" s="42"/>
      <c r="I15" s="43"/>
      <c r="J15" s="43"/>
      <c r="K15" s="43"/>
      <c r="L15" s="41"/>
      <c r="M15" s="41"/>
      <c r="N15" s="41"/>
    </row>
    <row r="16" spans="2:14" ht="8" customHeight="1" x14ac:dyDescent="0.2">
      <c r="B16" s="41"/>
      <c r="C16" s="44"/>
      <c r="D16" s="44"/>
      <c r="E16" s="44"/>
      <c r="F16" s="45"/>
      <c r="G16" s="45"/>
      <c r="H16" s="45"/>
      <c r="I16" s="46"/>
      <c r="J16" s="46"/>
      <c r="K16" s="46"/>
      <c r="L16" s="44"/>
      <c r="M16" s="41"/>
      <c r="N16" s="41"/>
    </row>
    <row r="17" spans="2:14" x14ac:dyDescent="0.2">
      <c r="B17" s="41"/>
      <c r="C17" s="44"/>
      <c r="F17" s="35" t="s">
        <v>55</v>
      </c>
      <c r="G17" s="35" t="s">
        <v>56</v>
      </c>
      <c r="H17" s="35" t="s">
        <v>57</v>
      </c>
      <c r="I17" s="37" t="s">
        <v>58</v>
      </c>
      <c r="J17" s="37" t="s">
        <v>59</v>
      </c>
      <c r="K17" s="37" t="s">
        <v>60</v>
      </c>
      <c r="L17" s="37" t="s">
        <v>64</v>
      </c>
      <c r="N17" s="41"/>
    </row>
    <row r="18" spans="2:14" x14ac:dyDescent="0.2">
      <c r="B18" s="41"/>
      <c r="C18" s="44"/>
      <c r="D18" s="40"/>
      <c r="F18" s="36" t="s">
        <v>61</v>
      </c>
      <c r="G18" s="36" t="s">
        <v>62</v>
      </c>
      <c r="H18" s="36" t="s">
        <v>63</v>
      </c>
      <c r="I18" s="38"/>
      <c r="J18" s="38"/>
      <c r="K18" s="38"/>
      <c r="L18" s="39"/>
      <c r="N18" s="41"/>
    </row>
    <row r="19" spans="2:14" hidden="1" x14ac:dyDescent="0.2">
      <c r="B19" s="41"/>
      <c r="C19" s="44"/>
      <c r="D19" s="53" t="s">
        <v>67</v>
      </c>
      <c r="E19" s="16" t="s">
        <v>65</v>
      </c>
      <c r="F19" s="33">
        <v>0.15</v>
      </c>
      <c r="G19" s="33">
        <v>0.4</v>
      </c>
      <c r="H19" s="33">
        <v>0.1</v>
      </c>
      <c r="I19" s="34">
        <f t="shared" ref="I19:K20" si="0">(1-SUM($F19:$H19))/(Meals-3)</f>
        <v>0.17499999999999999</v>
      </c>
      <c r="J19" s="34">
        <f t="shared" si="0"/>
        <v>0.17499999999999999</v>
      </c>
      <c r="K19" s="34">
        <f t="shared" si="0"/>
        <v>0.17499999999999999</v>
      </c>
      <c r="L19" s="16"/>
      <c r="N19" s="41"/>
    </row>
    <row r="20" spans="2:14" hidden="1" x14ac:dyDescent="0.2">
      <c r="B20" s="41"/>
      <c r="C20" s="44"/>
      <c r="D20" s="53"/>
      <c r="E20" s="16" t="s">
        <v>66</v>
      </c>
      <c r="F20" s="33">
        <v>0.1</v>
      </c>
      <c r="G20" s="33">
        <v>0</v>
      </c>
      <c r="H20" s="33">
        <v>0.1</v>
      </c>
      <c r="I20" s="34">
        <f t="shared" si="0"/>
        <v>0.4</v>
      </c>
      <c r="J20" s="34">
        <f t="shared" si="0"/>
        <v>0.4</v>
      </c>
      <c r="K20" s="34">
        <f t="shared" si="0"/>
        <v>0.4</v>
      </c>
      <c r="L20" s="16"/>
      <c r="N20" s="41"/>
    </row>
    <row r="21" spans="2:14" ht="19" customHeight="1" x14ac:dyDescent="0.2">
      <c r="B21" s="41"/>
      <c r="C21" s="44"/>
      <c r="D21" s="53"/>
      <c r="E21" s="16" t="s">
        <v>4</v>
      </c>
      <c r="F21" s="30">
        <f>$F$11/Meals</f>
        <v>38.102400000000003</v>
      </c>
      <c r="G21" s="30">
        <f>$F$11/Meals</f>
        <v>38.102400000000003</v>
      </c>
      <c r="H21" s="30">
        <f>$F$11/Meals</f>
        <v>38.102400000000003</v>
      </c>
      <c r="I21" s="30">
        <f>$F$11/Meals</f>
        <v>38.102400000000003</v>
      </c>
      <c r="J21" s="30">
        <f>$F$11/Meals</f>
        <v>38.102400000000003</v>
      </c>
      <c r="K21" s="30" t="str">
        <f>IF(Meals = 5,"",$F$11/Meals)</f>
        <v/>
      </c>
      <c r="L21" s="30">
        <f>SUM(F21:K21)</f>
        <v>190.512</v>
      </c>
      <c r="N21" s="41"/>
    </row>
    <row r="22" spans="2:14" ht="19" customHeight="1" x14ac:dyDescent="0.2">
      <c r="B22" s="41"/>
      <c r="C22" s="44"/>
      <c r="D22" s="53"/>
      <c r="E22" s="16" t="s">
        <v>19</v>
      </c>
      <c r="F22" s="30">
        <f>$G$11*F$19</f>
        <v>35.721000000000004</v>
      </c>
      <c r="G22" s="30">
        <f>$G$11*G$19</f>
        <v>95.256000000000014</v>
      </c>
      <c r="H22" s="30">
        <f>$G$11*H$19</f>
        <v>23.814000000000004</v>
      </c>
      <c r="I22" s="30">
        <f>$G$11*I$19</f>
        <v>41.674500000000002</v>
      </c>
      <c r="J22" s="30">
        <f>$G$11*J$19</f>
        <v>41.674500000000002</v>
      </c>
      <c r="K22" s="30" t="str">
        <f>IF(Meals=5,"",$G$11*K$19)</f>
        <v/>
      </c>
      <c r="L22" s="30">
        <f t="shared" ref="L22:L23" si="1">SUM(F22:K22)</f>
        <v>238.14000000000001</v>
      </c>
      <c r="N22" s="41"/>
    </row>
    <row r="23" spans="2:14" ht="19" customHeight="1" x14ac:dyDescent="0.2">
      <c r="B23" s="41"/>
      <c r="C23" s="44"/>
      <c r="D23" s="53"/>
      <c r="E23" s="16" t="s">
        <v>53</v>
      </c>
      <c r="F23" s="30">
        <f>$H$11*F$20</f>
        <v>5.296716666666665</v>
      </c>
      <c r="G23" s="30">
        <f>$H$11*G$20</f>
        <v>0</v>
      </c>
      <c r="H23" s="30">
        <f>$H$11*H$20</f>
        <v>5.296716666666665</v>
      </c>
      <c r="I23" s="30">
        <f>$H$11*I$20</f>
        <v>21.18686666666666</v>
      </c>
      <c r="J23" s="30">
        <f>$H$11*J$20</f>
        <v>21.18686666666666</v>
      </c>
      <c r="K23" s="30" t="str">
        <f>IF(Meals=5,"",$H$11*K$20)</f>
        <v/>
      </c>
      <c r="L23" s="30">
        <f t="shared" si="1"/>
        <v>52.96716666666665</v>
      </c>
      <c r="N23" s="41"/>
    </row>
    <row r="24" spans="2:14" x14ac:dyDescent="0.2">
      <c r="B24" s="41"/>
      <c r="C24" s="44"/>
      <c r="D24" s="47"/>
      <c r="N24" s="41"/>
    </row>
    <row r="25" spans="2:14" x14ac:dyDescent="0.2">
      <c r="B25" s="41"/>
      <c r="C25" s="44"/>
      <c r="D25" s="47"/>
      <c r="F25" s="35" t="s">
        <v>55</v>
      </c>
      <c r="G25" s="35" t="s">
        <v>56</v>
      </c>
      <c r="H25" s="35" t="s">
        <v>57</v>
      </c>
      <c r="I25" s="37" t="s">
        <v>58</v>
      </c>
      <c r="J25" s="37" t="s">
        <v>59</v>
      </c>
      <c r="K25" s="37" t="s">
        <v>60</v>
      </c>
      <c r="L25" s="37" t="s">
        <v>64</v>
      </c>
      <c r="N25" s="41"/>
    </row>
    <row r="26" spans="2:14" x14ac:dyDescent="0.2">
      <c r="B26" s="41"/>
      <c r="C26" s="44"/>
      <c r="D26" s="48"/>
      <c r="F26" s="36" t="s">
        <v>61</v>
      </c>
      <c r="G26" s="36" t="s">
        <v>62</v>
      </c>
      <c r="H26" s="36" t="s">
        <v>63</v>
      </c>
      <c r="I26" s="38"/>
      <c r="J26" s="38"/>
      <c r="K26" s="38"/>
      <c r="L26" s="39"/>
      <c r="N26" s="41"/>
    </row>
    <row r="27" spans="2:14" hidden="1" x14ac:dyDescent="0.2">
      <c r="B27" s="41"/>
      <c r="C27" s="44"/>
      <c r="D27" s="53" t="s">
        <v>68</v>
      </c>
      <c r="E27" s="16" t="s">
        <v>65</v>
      </c>
      <c r="F27" s="33">
        <v>0.15</v>
      </c>
      <c r="G27" s="33">
        <v>0.4</v>
      </c>
      <c r="H27" s="33">
        <v>0.1</v>
      </c>
      <c r="I27" s="34">
        <f t="shared" ref="I27:K28" si="2">(1-SUM($F27:$H27))/(Meals-3)</f>
        <v>0.17499999999999999</v>
      </c>
      <c r="J27" s="34">
        <f t="shared" si="2"/>
        <v>0.17499999999999999</v>
      </c>
      <c r="K27" s="34">
        <f t="shared" si="2"/>
        <v>0.17499999999999999</v>
      </c>
      <c r="L27" s="16"/>
      <c r="N27" s="41"/>
    </row>
    <row r="28" spans="2:14" hidden="1" x14ac:dyDescent="0.2">
      <c r="B28" s="41"/>
      <c r="C28" s="44"/>
      <c r="D28" s="53"/>
      <c r="E28" s="16" t="s">
        <v>66</v>
      </c>
      <c r="F28" s="33">
        <v>7.4999999999999997E-2</v>
      </c>
      <c r="G28" s="33">
        <v>0</v>
      </c>
      <c r="H28" s="33">
        <v>0.1</v>
      </c>
      <c r="I28" s="34">
        <f t="shared" si="2"/>
        <v>0.41249999999999998</v>
      </c>
      <c r="J28" s="34">
        <f t="shared" si="2"/>
        <v>0.41249999999999998</v>
      </c>
      <c r="K28" s="34">
        <f t="shared" si="2"/>
        <v>0.41249999999999998</v>
      </c>
      <c r="L28" s="16"/>
      <c r="N28" s="41"/>
    </row>
    <row r="29" spans="2:14" ht="20" customHeight="1" x14ac:dyDescent="0.2">
      <c r="B29" s="41"/>
      <c r="C29" s="44"/>
      <c r="D29" s="53"/>
      <c r="E29" s="16" t="s">
        <v>4</v>
      </c>
      <c r="F29" s="30">
        <f>$F$12/Meals</f>
        <v>38.102400000000003</v>
      </c>
      <c r="G29" s="30">
        <f>$F$12/Meals</f>
        <v>38.102400000000003</v>
      </c>
      <c r="H29" s="30">
        <f>$F$12/Meals</f>
        <v>38.102400000000003</v>
      </c>
      <c r="I29" s="30">
        <f>$F$12/Meals</f>
        <v>38.102400000000003</v>
      </c>
      <c r="J29" s="30">
        <f>$F$12/Meals</f>
        <v>38.102400000000003</v>
      </c>
      <c r="K29" s="30" t="str">
        <f>IF(Meals = 5,"",$F$12/Meals)</f>
        <v/>
      </c>
      <c r="L29" s="30">
        <f>SUM(F29:K29)</f>
        <v>190.512</v>
      </c>
      <c r="N29" s="41"/>
    </row>
    <row r="30" spans="2:14" ht="20" customHeight="1" x14ac:dyDescent="0.2">
      <c r="B30" s="41"/>
      <c r="C30" s="44"/>
      <c r="D30" s="53"/>
      <c r="E30" s="16" t="s">
        <v>19</v>
      </c>
      <c r="F30" s="30">
        <f>$G$12*F$27</f>
        <v>53.581500000000005</v>
      </c>
      <c r="G30" s="30">
        <f>$G$12*G$27</f>
        <v>142.88400000000001</v>
      </c>
      <c r="H30" s="30">
        <f>$G$12*H$27</f>
        <v>35.721000000000004</v>
      </c>
      <c r="I30" s="30">
        <f>$G$12*I$27</f>
        <v>62.511749999999999</v>
      </c>
      <c r="J30" s="30">
        <f>$G$12*J$27</f>
        <v>62.511749999999999</v>
      </c>
      <c r="K30" s="30" t="str">
        <f>IF(Meals = 5,"",$G$12*K$27)</f>
        <v/>
      </c>
      <c r="L30" s="30">
        <f t="shared" ref="L30:L31" si="3">SUM(F30:K30)</f>
        <v>357.21000000000004</v>
      </c>
      <c r="N30" s="41"/>
    </row>
    <row r="31" spans="2:14" ht="20" customHeight="1" x14ac:dyDescent="0.2">
      <c r="B31" s="41"/>
      <c r="C31" s="44"/>
      <c r="D31" s="53"/>
      <c r="E31" s="16" t="s">
        <v>53</v>
      </c>
      <c r="F31" s="30">
        <f>$H$12*F$28</f>
        <v>2.5928083333333309</v>
      </c>
      <c r="G31" s="30">
        <f>$H$12*G$28</f>
        <v>0</v>
      </c>
      <c r="H31" s="30">
        <f>$H$12*H$28</f>
        <v>3.457077777777775</v>
      </c>
      <c r="I31" s="30">
        <f>$H$12*I$28</f>
        <v>14.260445833333321</v>
      </c>
      <c r="J31" s="30">
        <f>$H$12*J$28</f>
        <v>14.260445833333321</v>
      </c>
      <c r="K31" s="30" t="str">
        <f>IF(Meals = 5,"",$H$12*K$28)</f>
        <v/>
      </c>
      <c r="L31" s="30">
        <f t="shared" si="3"/>
        <v>34.570777777777749</v>
      </c>
      <c r="N31" s="41"/>
    </row>
    <row r="32" spans="2:14" x14ac:dyDescent="0.2">
      <c r="B32" s="41"/>
      <c r="C32" s="44"/>
      <c r="D32" s="47"/>
      <c r="N32" s="41"/>
    </row>
    <row r="33" spans="2:14" x14ac:dyDescent="0.2">
      <c r="B33" s="41"/>
      <c r="C33" s="44"/>
      <c r="D33" s="47"/>
      <c r="F33" s="35" t="s">
        <v>55</v>
      </c>
      <c r="G33" s="35" t="s">
        <v>56</v>
      </c>
      <c r="H33" s="35" t="s">
        <v>57</v>
      </c>
      <c r="I33" s="37" t="s">
        <v>58</v>
      </c>
      <c r="J33" s="37" t="s">
        <v>59</v>
      </c>
      <c r="K33" s="37" t="s">
        <v>60</v>
      </c>
      <c r="L33" s="37" t="s">
        <v>64</v>
      </c>
      <c r="N33" s="41"/>
    </row>
    <row r="34" spans="2:14" x14ac:dyDescent="0.2">
      <c r="B34" s="41"/>
      <c r="C34" s="44"/>
      <c r="D34" s="48"/>
      <c r="F34" s="36" t="s">
        <v>61</v>
      </c>
      <c r="G34" s="36" t="s">
        <v>62</v>
      </c>
      <c r="H34" s="36" t="s">
        <v>63</v>
      </c>
      <c r="I34" s="38"/>
      <c r="J34" s="38"/>
      <c r="K34" s="38"/>
      <c r="L34" s="39"/>
      <c r="N34" s="41"/>
    </row>
    <row r="35" spans="2:14" hidden="1" x14ac:dyDescent="0.2">
      <c r="B35" s="41"/>
      <c r="C35" s="44"/>
      <c r="D35" s="53" t="s">
        <v>69</v>
      </c>
      <c r="E35" s="16" t="s">
        <v>65</v>
      </c>
      <c r="F35" s="33">
        <v>0.15</v>
      </c>
      <c r="G35" s="33">
        <v>0.4</v>
      </c>
      <c r="H35" s="33">
        <v>0.1</v>
      </c>
      <c r="I35" s="34">
        <f t="shared" ref="I35:K36" si="4">(1-SUM($F35:$H35))/(Meals-3)</f>
        <v>0.17499999999999999</v>
      </c>
      <c r="J35" s="34">
        <f t="shared" si="4"/>
        <v>0.17499999999999999</v>
      </c>
      <c r="K35" s="34">
        <f t="shared" si="4"/>
        <v>0.17499999999999999</v>
      </c>
      <c r="L35" s="16"/>
      <c r="N35" s="41"/>
    </row>
    <row r="36" spans="2:14" hidden="1" x14ac:dyDescent="0.2">
      <c r="B36" s="41"/>
      <c r="C36" s="44"/>
      <c r="D36" s="53"/>
      <c r="E36" s="16" t="s">
        <v>66</v>
      </c>
      <c r="F36" s="33">
        <v>0.05</v>
      </c>
      <c r="G36" s="33">
        <v>0</v>
      </c>
      <c r="H36" s="33">
        <v>0.1</v>
      </c>
      <c r="I36" s="34">
        <f t="shared" si="4"/>
        <v>0.42499999999999999</v>
      </c>
      <c r="J36" s="34">
        <f t="shared" si="4"/>
        <v>0.42499999999999999</v>
      </c>
      <c r="K36" s="34">
        <f t="shared" si="4"/>
        <v>0.42499999999999999</v>
      </c>
      <c r="L36" s="16"/>
      <c r="N36" s="41"/>
    </row>
    <row r="37" spans="2:14" ht="18" customHeight="1" x14ac:dyDescent="0.2">
      <c r="B37" s="41"/>
      <c r="C37" s="44"/>
      <c r="D37" s="53"/>
      <c r="E37" s="16" t="s">
        <v>4</v>
      </c>
      <c r="F37" s="30">
        <f>$F$13/Meals</f>
        <v>38.102400000000003</v>
      </c>
      <c r="G37" s="30">
        <f>$F$13/Meals</f>
        <v>38.102400000000003</v>
      </c>
      <c r="H37" s="30">
        <f>$F$13/Meals</f>
        <v>38.102400000000003</v>
      </c>
      <c r="I37" s="30">
        <f>$F$13/Meals</f>
        <v>38.102400000000003</v>
      </c>
      <c r="J37" s="30">
        <f>$F$13/Meals</f>
        <v>38.102400000000003</v>
      </c>
      <c r="K37" s="30" t="str">
        <f>IF(Meals = 5,"",$F$13/Meals)</f>
        <v/>
      </c>
      <c r="L37" s="30">
        <f>SUM(F37:K37)</f>
        <v>190.512</v>
      </c>
      <c r="N37" s="41"/>
    </row>
    <row r="38" spans="2:14" ht="18" customHeight="1" x14ac:dyDescent="0.2">
      <c r="B38" s="41"/>
      <c r="C38" s="44"/>
      <c r="D38" s="53"/>
      <c r="E38" s="16" t="s">
        <v>19</v>
      </c>
      <c r="F38" s="30">
        <f>$G$13*F$35</f>
        <v>68.863631249999997</v>
      </c>
      <c r="G38" s="30">
        <f>$G$13*G$35</f>
        <v>183.63634999999999</v>
      </c>
      <c r="H38" s="30">
        <f>$G$13*H$35</f>
        <v>45.909087499999998</v>
      </c>
      <c r="I38" s="30">
        <f>$G$13*I$35</f>
        <v>80.340903124999997</v>
      </c>
      <c r="J38" s="30">
        <f>$G$13*J$35</f>
        <v>80.340903124999997</v>
      </c>
      <c r="K38" s="30" t="str">
        <f>IF(Meals = 5,"",$G$13*K$35)</f>
        <v/>
      </c>
      <c r="L38" s="30">
        <f t="shared" ref="L38:L39" si="5">SUM(F38:K38)</f>
        <v>459.09087499999998</v>
      </c>
      <c r="N38" s="41"/>
    </row>
    <row r="39" spans="2:14" ht="18" customHeight="1" x14ac:dyDescent="0.2">
      <c r="B39" s="41"/>
      <c r="C39" s="44"/>
      <c r="D39" s="53"/>
      <c r="E39" s="16" t="s">
        <v>53</v>
      </c>
      <c r="F39" s="30">
        <f>$H$13*F$36</f>
        <v>1.1907000000000003</v>
      </c>
      <c r="G39" s="30">
        <f>$H$13*G$36</f>
        <v>0</v>
      </c>
      <c r="H39" s="30">
        <f>$H$13*H$36</f>
        <v>2.3814000000000006</v>
      </c>
      <c r="I39" s="30">
        <f>$H$13*I$36</f>
        <v>10.120950000000001</v>
      </c>
      <c r="J39" s="30">
        <f>$H$13*J$36</f>
        <v>10.120950000000001</v>
      </c>
      <c r="K39" s="30" t="str">
        <f>IF(Meals = 5,"",$H$13*K$36)</f>
        <v/>
      </c>
      <c r="L39" s="30">
        <f t="shared" si="5"/>
        <v>23.814</v>
      </c>
      <c r="N39" s="41"/>
    </row>
    <row r="40" spans="2:14" x14ac:dyDescent="0.2">
      <c r="B40" s="41"/>
      <c r="C40" s="44"/>
      <c r="D40" s="47"/>
      <c r="N40" s="41"/>
    </row>
    <row r="41" spans="2:14" x14ac:dyDescent="0.2">
      <c r="B41" s="41"/>
      <c r="C41" s="44"/>
      <c r="D41" s="47"/>
      <c r="F41" s="37" t="s">
        <v>55</v>
      </c>
      <c r="G41" s="37" t="s">
        <v>56</v>
      </c>
      <c r="H41" s="37" t="s">
        <v>57</v>
      </c>
      <c r="I41" s="37" t="s">
        <v>58</v>
      </c>
      <c r="J41" s="37" t="s">
        <v>59</v>
      </c>
      <c r="L41" s="37" t="s">
        <v>64</v>
      </c>
      <c r="N41" s="41"/>
    </row>
    <row r="42" spans="2:14" x14ac:dyDescent="0.2">
      <c r="B42" s="41"/>
      <c r="C42" s="44"/>
      <c r="D42" s="48"/>
      <c r="F42" s="38"/>
      <c r="G42" s="38"/>
      <c r="H42" s="38"/>
      <c r="I42" s="38"/>
      <c r="J42" s="38"/>
      <c r="L42" s="39"/>
      <c r="N42" s="41"/>
    </row>
    <row r="43" spans="2:14" hidden="1" x14ac:dyDescent="0.2">
      <c r="B43" s="41"/>
      <c r="C43" s="44"/>
      <c r="D43" s="53" t="s">
        <v>70</v>
      </c>
      <c r="E43" s="16" t="s">
        <v>65</v>
      </c>
      <c r="F43" s="33">
        <f>1/5</f>
        <v>0.2</v>
      </c>
      <c r="G43" s="33">
        <f t="shared" ref="G43:J44" si="6">1/5</f>
        <v>0.2</v>
      </c>
      <c r="H43" s="33">
        <f t="shared" si="6"/>
        <v>0.2</v>
      </c>
      <c r="I43" s="33">
        <f t="shared" si="6"/>
        <v>0.2</v>
      </c>
      <c r="J43" s="33">
        <f t="shared" si="6"/>
        <v>0.2</v>
      </c>
      <c r="L43" s="16"/>
      <c r="N43" s="41"/>
    </row>
    <row r="44" spans="2:14" hidden="1" x14ac:dyDescent="0.2">
      <c r="B44" s="41"/>
      <c r="C44" s="44"/>
      <c r="D44" s="53"/>
      <c r="E44" s="16" t="s">
        <v>66</v>
      </c>
      <c r="F44" s="33">
        <f>1/5</f>
        <v>0.2</v>
      </c>
      <c r="G44" s="33">
        <f t="shared" si="6"/>
        <v>0.2</v>
      </c>
      <c r="H44" s="33">
        <f t="shared" si="6"/>
        <v>0.2</v>
      </c>
      <c r="I44" s="33">
        <f t="shared" si="6"/>
        <v>0.2</v>
      </c>
      <c r="J44" s="33">
        <f t="shared" si="6"/>
        <v>0.2</v>
      </c>
      <c r="L44" s="16"/>
      <c r="N44" s="41"/>
    </row>
    <row r="45" spans="2:14" ht="19" customHeight="1" x14ac:dyDescent="0.2">
      <c r="B45" s="41"/>
      <c r="C45" s="44"/>
      <c r="D45" s="53"/>
      <c r="E45" s="16" t="s">
        <v>4</v>
      </c>
      <c r="F45" s="30">
        <f>$F$10/Meals</f>
        <v>38.102400000000003</v>
      </c>
      <c r="G45" s="30">
        <f>$F$10/Meals</f>
        <v>38.102400000000003</v>
      </c>
      <c r="H45" s="30">
        <f>$F$10/Meals</f>
        <v>38.102400000000003</v>
      </c>
      <c r="I45" s="30">
        <f>$F$10/Meals</f>
        <v>38.102400000000003</v>
      </c>
      <c r="J45" s="30">
        <f>$F$10/Meals</f>
        <v>38.102400000000003</v>
      </c>
      <c r="L45" s="30">
        <f>SUM(F45:K45)</f>
        <v>190.512</v>
      </c>
      <c r="N45" s="41"/>
    </row>
    <row r="46" spans="2:14" ht="19" customHeight="1" x14ac:dyDescent="0.2">
      <c r="B46" s="41"/>
      <c r="C46" s="44"/>
      <c r="D46" s="53"/>
      <c r="E46" s="16" t="s">
        <v>19</v>
      </c>
      <c r="F46" s="30">
        <f>$G$10*F$43</f>
        <v>47.628000000000007</v>
      </c>
      <c r="G46" s="30">
        <f>$G$10*G$43</f>
        <v>47.628000000000007</v>
      </c>
      <c r="H46" s="30">
        <f>$G$10*H$43</f>
        <v>47.628000000000007</v>
      </c>
      <c r="I46" s="30">
        <f>$G$10*I$43</f>
        <v>47.628000000000007</v>
      </c>
      <c r="J46" s="30">
        <f>$G$10*J$43</f>
        <v>47.628000000000007</v>
      </c>
      <c r="L46" s="30">
        <f t="shared" ref="L46:L47" si="7">SUM(F46:K46)</f>
        <v>238.14000000000004</v>
      </c>
      <c r="N46" s="41"/>
    </row>
    <row r="47" spans="2:14" ht="19" customHeight="1" x14ac:dyDescent="0.2">
      <c r="B47" s="41"/>
      <c r="C47" s="44"/>
      <c r="D47" s="53"/>
      <c r="E47" s="16" t="s">
        <v>53</v>
      </c>
      <c r="F47" s="30">
        <f>$H$10*F$44</f>
        <v>10.59343333333333</v>
      </c>
      <c r="G47" s="30">
        <f>$H$10*G$44</f>
        <v>10.59343333333333</v>
      </c>
      <c r="H47" s="30">
        <f>$H$10*H$44</f>
        <v>10.59343333333333</v>
      </c>
      <c r="I47" s="30">
        <f>$H$10*I$44</f>
        <v>10.59343333333333</v>
      </c>
      <c r="J47" s="30">
        <f>$H$10*J$44</f>
        <v>10.59343333333333</v>
      </c>
      <c r="L47" s="30">
        <f t="shared" si="7"/>
        <v>52.96716666666665</v>
      </c>
      <c r="N47" s="41"/>
    </row>
    <row r="48" spans="2:14" ht="8" customHeight="1" x14ac:dyDescent="0.2">
      <c r="B48" s="41"/>
      <c r="C48" s="44"/>
      <c r="N48" s="41"/>
    </row>
    <row r="49" spans="2:14" ht="8" customHeight="1" x14ac:dyDescent="0.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</sheetData>
  <mergeCells count="4">
    <mergeCell ref="D19:D23"/>
    <mergeCell ref="D27:D31"/>
    <mergeCell ref="D35:D39"/>
    <mergeCell ref="D43:D47"/>
  </mergeCell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values!$M$2:$M$4</xm:f>
          </x14:formula1>
          <xm:sqref>E7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M18"/>
  <sheetViews>
    <sheetView workbookViewId="0">
      <selection activeCell="N9" sqref="N9"/>
    </sheetView>
  </sheetViews>
  <sheetFormatPr baseColWidth="10" defaultColWidth="8.83203125" defaultRowHeight="15" x14ac:dyDescent="0.2"/>
  <sheetData>
    <row r="1" spans="1:13" x14ac:dyDescent="0.2">
      <c r="A1" s="3" t="s">
        <v>14</v>
      </c>
      <c r="D1" s="16" t="s">
        <v>21</v>
      </c>
      <c r="G1" s="16" t="s">
        <v>5</v>
      </c>
      <c r="I1" s="16" t="s">
        <v>28</v>
      </c>
      <c r="K1" s="16" t="s">
        <v>34</v>
      </c>
      <c r="M1" s="16" t="s">
        <v>48</v>
      </c>
    </row>
    <row r="2" spans="1:13" x14ac:dyDescent="0.2">
      <c r="A2" s="3" t="s">
        <v>15</v>
      </c>
      <c r="C2" s="15" t="s">
        <v>19</v>
      </c>
      <c r="D2" s="15">
        <v>4</v>
      </c>
      <c r="F2" s="15" t="s">
        <v>0</v>
      </c>
      <c r="G2" s="15">
        <v>0.5</v>
      </c>
      <c r="I2" s="15">
        <v>0.7</v>
      </c>
      <c r="K2" s="15">
        <v>-750</v>
      </c>
      <c r="M2" s="15">
        <v>5</v>
      </c>
    </row>
    <row r="3" spans="1:13" x14ac:dyDescent="0.2">
      <c r="C3" s="15" t="s">
        <v>4</v>
      </c>
      <c r="D3" s="15">
        <v>4</v>
      </c>
      <c r="F3" s="15" t="s">
        <v>1</v>
      </c>
      <c r="G3" s="15">
        <v>1</v>
      </c>
      <c r="I3" s="15">
        <v>0.8</v>
      </c>
      <c r="K3" s="15">
        <f>K2+100</f>
        <v>-650</v>
      </c>
      <c r="M3" s="15">
        <v>6</v>
      </c>
    </row>
    <row r="4" spans="1:13" x14ac:dyDescent="0.2">
      <c r="C4" s="15" t="s">
        <v>20</v>
      </c>
      <c r="D4" s="15">
        <v>9</v>
      </c>
      <c r="F4" s="15" t="s">
        <v>2</v>
      </c>
      <c r="G4" s="15">
        <v>1.5</v>
      </c>
      <c r="I4" s="15">
        <v>0.9</v>
      </c>
      <c r="K4" s="15">
        <f t="shared" ref="K4:K7" si="0">K3+100</f>
        <v>-550</v>
      </c>
    </row>
    <row r="5" spans="1:13" x14ac:dyDescent="0.2">
      <c r="F5" s="15" t="s">
        <v>3</v>
      </c>
      <c r="G5" s="15">
        <v>2</v>
      </c>
      <c r="I5" s="15">
        <v>1</v>
      </c>
      <c r="K5" s="15">
        <f t="shared" si="0"/>
        <v>-450</v>
      </c>
    </row>
    <row r="6" spans="1:13" x14ac:dyDescent="0.2">
      <c r="I6" s="15">
        <v>1.1000000000000001</v>
      </c>
      <c r="K6" s="15">
        <f t="shared" si="0"/>
        <v>-350</v>
      </c>
    </row>
    <row r="7" spans="1:13" x14ac:dyDescent="0.2">
      <c r="I7" s="15">
        <v>1.2</v>
      </c>
      <c r="K7" s="15">
        <f t="shared" si="0"/>
        <v>-250</v>
      </c>
    </row>
    <row r="8" spans="1:13" x14ac:dyDescent="0.2">
      <c r="K8" s="15">
        <f>K7+100</f>
        <v>-150</v>
      </c>
    </row>
    <row r="9" spans="1:13" x14ac:dyDescent="0.2">
      <c r="K9" s="15">
        <f>K8+100</f>
        <v>-50</v>
      </c>
    </row>
    <row r="10" spans="1:13" x14ac:dyDescent="0.2">
      <c r="K10" s="15">
        <f t="shared" ref="K10:K11" si="1">K9+50</f>
        <v>0</v>
      </c>
    </row>
    <row r="11" spans="1:13" x14ac:dyDescent="0.2">
      <c r="K11" s="15">
        <f t="shared" si="1"/>
        <v>50</v>
      </c>
    </row>
    <row r="12" spans="1:13" x14ac:dyDescent="0.2">
      <c r="K12" s="15">
        <f>K11+100</f>
        <v>150</v>
      </c>
    </row>
    <row r="13" spans="1:13" x14ac:dyDescent="0.2">
      <c r="K13" s="15">
        <f t="shared" ref="K13:K18" si="2">K12+100</f>
        <v>250</v>
      </c>
    </row>
    <row r="14" spans="1:13" x14ac:dyDescent="0.2">
      <c r="K14" s="15">
        <f t="shared" si="2"/>
        <v>350</v>
      </c>
    </row>
    <row r="15" spans="1:13" x14ac:dyDescent="0.2">
      <c r="K15" s="15">
        <f t="shared" si="2"/>
        <v>450</v>
      </c>
    </row>
    <row r="16" spans="1:13" x14ac:dyDescent="0.2">
      <c r="K16" s="15">
        <f t="shared" si="2"/>
        <v>550</v>
      </c>
    </row>
    <row r="17" spans="11:11" x14ac:dyDescent="0.2">
      <c r="K17" s="15">
        <f t="shared" si="2"/>
        <v>650</v>
      </c>
    </row>
    <row r="18" spans="11:11" x14ac:dyDescent="0.2">
      <c r="K18" s="15">
        <f t="shared" si="2"/>
        <v>750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Macro Calculator</vt:lpstr>
      <vt:lpstr>RP Meal Calculator</vt:lpstr>
      <vt:lpstr>values</vt:lpstr>
    </vt:vector>
  </TitlesOfParts>
  <Company>NWL Collaboration of CCG's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Angela Wolff</cp:lastModifiedBy>
  <dcterms:created xsi:type="dcterms:W3CDTF">2017-02-22T18:17:44Z</dcterms:created>
  <dcterms:modified xsi:type="dcterms:W3CDTF">2017-02-26T16:15:38Z</dcterms:modified>
</cp:coreProperties>
</file>